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80" yWindow="780" windowWidth="15600" windowHeight="11760"/>
  </bookViews>
  <sheets>
    <sheet name="Titer Calculator" sheetId="1" r:id="rId1"/>
  </sheets>
  <calcPr calcId="125725"/>
</workbook>
</file>

<file path=xl/calcChain.xml><?xml version="1.0" encoding="utf-8"?>
<calcChain xmlns="http://schemas.openxmlformats.org/spreadsheetml/2006/main">
  <c r="K7" i="1"/>
  <c r="F7" l="1"/>
  <c r="F6"/>
  <c r="F5"/>
  <c r="F4"/>
  <c r="D7"/>
  <c r="D6"/>
  <c r="D4"/>
  <c r="K5"/>
  <c r="K6"/>
  <c r="K8"/>
  <c r="K9"/>
  <c r="K10"/>
  <c r="K11"/>
  <c r="K12"/>
  <c r="K13"/>
  <c r="K4"/>
  <c r="D5"/>
  <c r="K21" l="1"/>
  <c r="K19"/>
  <c r="K20"/>
  <c r="U14"/>
  <c r="L9" l="1"/>
  <c r="L4"/>
  <c r="L11"/>
  <c r="L12"/>
  <c r="L13"/>
  <c r="L7"/>
  <c r="L10"/>
  <c r="L6"/>
  <c r="L5"/>
  <c r="L8"/>
  <c r="U21"/>
  <c r="U23" s="1"/>
  <c r="U25" s="1"/>
  <c r="U27" s="1"/>
  <c r="U59"/>
  <c r="U61" s="1"/>
  <c r="U63" s="1"/>
  <c r="U66" s="1"/>
  <c r="U43"/>
  <c r="U45" s="1"/>
  <c r="U47" l="1"/>
  <c r="U49" s="1"/>
</calcChain>
</file>

<file path=xl/sharedStrings.xml><?xml version="1.0" encoding="utf-8"?>
<sst xmlns="http://schemas.openxmlformats.org/spreadsheetml/2006/main" count="62" uniqueCount="41">
  <si>
    <t>STANDARD CURVE</t>
  </si>
  <si>
    <t>UNKNOWN VIRUS SAMPLES</t>
  </si>
  <si>
    <t>Ct Duplicate 1</t>
  </si>
  <si>
    <t>Ct Duplicate 2</t>
  </si>
  <si>
    <t>Ct Average</t>
  </si>
  <si>
    <t>Dilution</t>
  </si>
  <si>
    <t>Titer (IU/ml)</t>
  </si>
  <si>
    <t>Sample Name</t>
  </si>
  <si>
    <t>1/100</t>
  </si>
  <si>
    <t>Control Virus</t>
  </si>
  <si>
    <t>1/1000</t>
  </si>
  <si>
    <t>1/10000</t>
  </si>
  <si>
    <t>1/100000</t>
  </si>
  <si>
    <t>G949</t>
  </si>
  <si>
    <t>Virus Control</t>
  </si>
  <si>
    <t>Titer Calculator</t>
  </si>
  <si>
    <t>ct1</t>
  </si>
  <si>
    <t>ct2</t>
  </si>
  <si>
    <t>avg</t>
  </si>
  <si>
    <t>y = mx + b</t>
  </si>
  <si>
    <t xml:space="preserve">SLOPE AND Y-INTERCEPT </t>
  </si>
  <si>
    <t>m =</t>
  </si>
  <si>
    <r>
      <t xml:space="preserve">y = </t>
    </r>
    <r>
      <rPr>
        <sz val="11"/>
        <color rgb="FFFF0000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ln(x) + </t>
    </r>
    <r>
      <rPr>
        <sz val="11"/>
        <color theme="3" tint="0.39997558519241921"/>
        <rFont val="Calibri"/>
        <family val="2"/>
        <scheme val="minor"/>
      </rPr>
      <t>b</t>
    </r>
  </si>
  <si>
    <t>b</t>
  </si>
  <si>
    <r>
      <rPr>
        <sz val="11"/>
        <color rgb="FFFF0000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 =</t>
    </r>
  </si>
  <si>
    <r>
      <t>b</t>
    </r>
    <r>
      <rPr>
        <sz val="11"/>
        <rFont val="Calibri"/>
        <family val="2"/>
        <scheme val="minor"/>
      </rPr>
      <t xml:space="preserve">  =</t>
    </r>
  </si>
  <si>
    <t xml:space="preserve">Virus control </t>
  </si>
  <si>
    <t>GC/ul</t>
  </si>
  <si>
    <t>IU/ml</t>
  </si>
  <si>
    <t>Instructions:</t>
  </si>
  <si>
    <t>1) Fill out Yellow Highlighted Ct Values</t>
  </si>
  <si>
    <t>RESULT</t>
  </si>
  <si>
    <t>MORE than original titer</t>
  </si>
  <si>
    <t xml:space="preserve"> loss of original titer</t>
  </si>
  <si>
    <t>Original titer = 1.57E+07</t>
  </si>
  <si>
    <t>Titer should only drop ~10-20% with each freeze thaw.</t>
  </si>
  <si>
    <t>Use QUBIT to determine concentration of stock.</t>
  </si>
  <si>
    <t>2) Titer is automatically calculated</t>
  </si>
  <si>
    <t xml:space="preserve">    sample  for the titer assay</t>
  </si>
  <si>
    <t>3) Adjust titer if you diluted virus</t>
  </si>
  <si>
    <r>
      <t>R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=</t>
    </r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</si>
</sst>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ED7D31"/>
      <name val="Calibri"/>
      <family val="2"/>
      <scheme val="minor"/>
    </font>
    <font>
      <b/>
      <u/>
      <sz val="11"/>
      <color rgb="FFED7D31"/>
      <name val="Calibri"/>
      <family val="2"/>
      <scheme val="minor"/>
    </font>
    <font>
      <sz val="11"/>
      <color rgb="FFFFFFFF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D7D3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rgb="FFA6A6A6"/>
      </top>
      <bottom style="thin">
        <color theme="0" tint="-0.34998626667073579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Border="1"/>
    <xf numFmtId="0" fontId="0" fillId="2" borderId="0" xfId="0" applyFill="1"/>
    <xf numFmtId="0" fontId="3" fillId="0" borderId="0" xfId="0" applyFont="1"/>
    <xf numFmtId="11" fontId="0" fillId="0" borderId="0" xfId="0" applyNumberFormat="1"/>
    <xf numFmtId="9" fontId="0" fillId="0" borderId="0" xfId="1" applyFont="1"/>
    <xf numFmtId="0" fontId="0" fillId="3" borderId="0" xfId="0" applyFill="1"/>
    <xf numFmtId="9" fontId="0" fillId="3" borderId="0" xfId="1" applyFont="1" applyFill="1"/>
    <xf numFmtId="11" fontId="0" fillId="2" borderId="0" xfId="0" applyNumberFormat="1" applyFill="1"/>
    <xf numFmtId="0" fontId="0" fillId="0" borderId="4" xfId="0" applyBorder="1"/>
    <xf numFmtId="0" fontId="0" fillId="0" borderId="5" xfId="0" applyBorder="1"/>
    <xf numFmtId="11" fontId="0" fillId="4" borderId="0" xfId="0" applyNumberFormat="1" applyFill="1"/>
    <xf numFmtId="0" fontId="0" fillId="4" borderId="0" xfId="0" applyFill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5" borderId="0" xfId="0" applyFill="1" applyBorder="1"/>
    <xf numFmtId="0" fontId="0" fillId="5" borderId="0" xfId="0" applyFill="1"/>
    <xf numFmtId="0" fontId="0" fillId="0" borderId="0" xfId="0" applyAlignment="1">
      <alignment horizontal="center"/>
    </xf>
    <xf numFmtId="0" fontId="0" fillId="0" borderId="0" xfId="0" applyFill="1"/>
    <xf numFmtId="0" fontId="0" fillId="5" borderId="0" xfId="0" applyFill="1" applyAlignment="1">
      <alignment horizontal="center"/>
    </xf>
    <xf numFmtId="0" fontId="0" fillId="5" borderId="2" xfId="0" applyFill="1" applyBorder="1"/>
    <xf numFmtId="0" fontId="0" fillId="5" borderId="1" xfId="0" applyFill="1" applyBorder="1"/>
    <xf numFmtId="0" fontId="0" fillId="5" borderId="3" xfId="0" applyFill="1" applyBorder="1"/>
    <xf numFmtId="0" fontId="0" fillId="6" borderId="0" xfId="0" applyFill="1"/>
    <xf numFmtId="0" fontId="0" fillId="6" borderId="0" xfId="0" applyFill="1" applyBorder="1"/>
    <xf numFmtId="0" fontId="4" fillId="6" borderId="0" xfId="0" applyFont="1" applyFill="1"/>
    <xf numFmtId="0" fontId="0" fillId="6" borderId="0" xfId="0" applyFill="1" applyAlignment="1">
      <alignment horizontal="center"/>
    </xf>
    <xf numFmtId="49" fontId="0" fillId="6" borderId="0" xfId="0" applyNumberFormat="1" applyFill="1" applyBorder="1"/>
    <xf numFmtId="0" fontId="0" fillId="0" borderId="9" xfId="0" applyBorder="1" applyAlignment="1">
      <alignment horizontal="center"/>
    </xf>
    <xf numFmtId="0" fontId="0" fillId="0" borderId="9" xfId="0" applyFill="1" applyBorder="1" applyAlignment="1">
      <alignment horizontal="center"/>
    </xf>
    <xf numFmtId="49" fontId="0" fillId="0" borderId="9" xfId="0" applyNumberFormat="1" applyBorder="1"/>
    <xf numFmtId="0" fontId="0" fillId="0" borderId="9" xfId="0" applyBorder="1"/>
    <xf numFmtId="49" fontId="0" fillId="0" borderId="9" xfId="0" applyNumberForma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0" fillId="0" borderId="9" xfId="0" applyNumberFormat="1" applyBorder="1" applyAlignment="1">
      <alignment horizontal="center"/>
    </xf>
    <xf numFmtId="11" fontId="0" fillId="0" borderId="9" xfId="0" applyNumberFormat="1" applyBorder="1"/>
    <xf numFmtId="0" fontId="5" fillId="0" borderId="9" xfId="0" applyFont="1" applyBorder="1"/>
    <xf numFmtId="0" fontId="9" fillId="6" borderId="0" xfId="0" applyFont="1" applyFill="1"/>
    <xf numFmtId="0" fontId="0" fillId="8" borderId="0" xfId="0" applyFill="1"/>
    <xf numFmtId="0" fontId="0" fillId="8" borderId="0" xfId="0" applyFill="1" applyAlignment="1">
      <alignment horizontal="center"/>
    </xf>
    <xf numFmtId="0" fontId="2" fillId="0" borderId="9" xfId="0" applyFont="1" applyFill="1" applyBorder="1"/>
    <xf numFmtId="0" fontId="5" fillId="0" borderId="9" xfId="0" applyFont="1" applyFill="1" applyBorder="1"/>
    <xf numFmtId="0" fontId="0" fillId="6" borderId="10" xfId="0" applyFill="1" applyBorder="1"/>
    <xf numFmtId="0" fontId="0" fillId="6" borderId="11" xfId="0" applyFill="1" applyBorder="1"/>
    <xf numFmtId="0" fontId="0" fillId="6" borderId="11" xfId="0" applyFill="1" applyBorder="1" applyAlignment="1">
      <alignment horizontal="center"/>
    </xf>
    <xf numFmtId="0" fontId="0" fillId="7" borderId="9" xfId="0" applyFill="1" applyBorder="1" applyProtection="1">
      <protection locked="0"/>
    </xf>
    <xf numFmtId="0" fontId="10" fillId="8" borderId="0" xfId="0" applyFont="1" applyFill="1" applyBorder="1" applyAlignment="1">
      <alignment horizontal="center"/>
    </xf>
    <xf numFmtId="0" fontId="10" fillId="8" borderId="0" xfId="0" applyFont="1" applyFill="1" applyAlignment="1">
      <alignment horizontal="center"/>
    </xf>
    <xf numFmtId="0" fontId="0" fillId="0" borderId="9" xfId="0" applyBorder="1" applyAlignment="1">
      <alignment horizontal="center"/>
    </xf>
    <xf numFmtId="0" fontId="8" fillId="6" borderId="0" xfId="0" applyFont="1" applyFill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/>
            </a:pPr>
            <a:r>
              <a:rPr lang="en-US"/>
              <a:t>Standard Curve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0804995529404975"/>
          <c:y val="0.14881541664055919"/>
          <c:w val="0.62749683762057618"/>
          <c:h val="0.66131400683667863"/>
        </c:manualLayout>
      </c:layout>
      <c:scatterChart>
        <c:scatterStyle val="lineMarker"/>
        <c:ser>
          <c:idx val="0"/>
          <c:order val="0"/>
          <c:tx>
            <c:strRef>
              <c:f>'Titer Calculator'!$D$4:$D$8</c:f>
              <c:strCache>
                <c:ptCount val="1"/>
                <c:pt idx="0">
                  <c:v>9.82 13.015 16.05 19.18</c:v>
                </c:pt>
              </c:strCache>
            </c:strRef>
          </c:tx>
          <c:spPr>
            <a:ln w="28575">
              <a:noFill/>
            </a:ln>
          </c:spPr>
          <c:dLbls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trendlineType val="log"/>
            <c:dispRSqr val="1"/>
            <c:dispEq val="1"/>
            <c:trendlineLbl>
              <c:layout>
                <c:manualLayout>
                  <c:x val="0.2884871259224483"/>
                  <c:y val="-0.27512075579411988"/>
                </c:manualLayout>
              </c:layout>
              <c:numFmt formatCode="General" sourceLinked="0"/>
              <c:spPr>
                <a:solidFill>
                  <a:schemeClr val="lt1"/>
                </a:solidFill>
                <a:ln w="25400" cap="flat" cmpd="sng" algn="ctr">
                  <a:solidFill>
                    <a:schemeClr val="accent5"/>
                  </a:solidFill>
                  <a:prstDash val="solid"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'Titer Calculator'!$F$4:$F$8</c:f>
              <c:numCache>
                <c:formatCode>General</c:formatCode>
                <c:ptCount val="5"/>
                <c:pt idx="0">
                  <c:v>400000000</c:v>
                </c:pt>
                <c:pt idx="1">
                  <c:v>40000000</c:v>
                </c:pt>
                <c:pt idx="2">
                  <c:v>4000000</c:v>
                </c:pt>
                <c:pt idx="3">
                  <c:v>400000</c:v>
                </c:pt>
              </c:numCache>
            </c:numRef>
          </c:xVal>
          <c:yVal>
            <c:numRef>
              <c:f>'Titer Calculator'!$D$4:$D$8</c:f>
              <c:numCache>
                <c:formatCode>General</c:formatCode>
                <c:ptCount val="5"/>
                <c:pt idx="0">
                  <c:v>9.82</c:v>
                </c:pt>
                <c:pt idx="1">
                  <c:v>13.015000000000001</c:v>
                </c:pt>
                <c:pt idx="2">
                  <c:v>16.05</c:v>
                </c:pt>
                <c:pt idx="3">
                  <c:v>19.18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DEB1-429B-8023-A986781E6CB8}"/>
            </c:ext>
          </c:extLst>
        </c:ser>
        <c:dLbls>
          <c:showVal val="1"/>
        </c:dLbls>
        <c:axId val="97518336"/>
        <c:axId val="97520256"/>
      </c:scatterChart>
      <c:valAx>
        <c:axId val="97518336"/>
        <c:scaling>
          <c:logBase val="10"/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Infectious Units</a:t>
                </a:r>
              </a:p>
            </c:rich>
          </c:tx>
          <c:layout/>
        </c:title>
        <c:numFmt formatCode="General" sourceLinked="1"/>
        <c:tickLblPos val="nextTo"/>
        <c:crossAx val="97520256"/>
        <c:crosses val="autoZero"/>
        <c:crossBetween val="midCat"/>
      </c:valAx>
      <c:valAx>
        <c:axId val="9752025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Ct Value</a:t>
                </a:r>
              </a:p>
            </c:rich>
          </c:tx>
          <c:layout/>
        </c:title>
        <c:numFmt formatCode="General" sourceLinked="1"/>
        <c:tickLblPos val="nextTo"/>
        <c:crossAx val="97518336"/>
        <c:crosses val="autoZero"/>
        <c:crossBetween val="midCat"/>
      </c:valAx>
    </c:plotArea>
    <c:plotVisOnly val="1"/>
    <c:dispBlanksAs val="gap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533400</xdr:colOff>
      <xdr:row>34</xdr:row>
      <xdr:rowOff>85724</xdr:rowOff>
    </xdr:from>
    <xdr:to>
      <xdr:col>12</xdr:col>
      <xdr:colOff>1285875</xdr:colOff>
      <xdr:row>35</xdr:row>
      <xdr:rowOff>57149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4562475" y="6838949"/>
          <a:ext cx="752475" cy="16192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 editAs="oneCell">
    <xdr:from>
      <xdr:col>1</xdr:col>
      <xdr:colOff>180975</xdr:colOff>
      <xdr:row>10</xdr:row>
      <xdr:rowOff>9525</xdr:rowOff>
    </xdr:from>
    <xdr:to>
      <xdr:col>2</xdr:col>
      <xdr:colOff>495300</xdr:colOff>
      <xdr:row>11</xdr:row>
      <xdr:rowOff>171450</xdr:rowOff>
    </xdr:to>
    <xdr:pic>
      <xdr:nvPicPr>
        <xdr:cNvPr id="1025" name="Picture 1" descr="https://old.abmgood.com/img/logonew.png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828800"/>
          <a:ext cx="1247775" cy="352425"/>
        </a:xfrm>
        <a:prstGeom prst="rect">
          <a:avLst/>
        </a:prstGeom>
        <a:noFill/>
      </xdr:spPr>
    </xdr:pic>
    <xdr:clientData/>
  </xdr:twoCellAnchor>
  <xdr:twoCellAnchor>
    <xdr:from>
      <xdr:col>1</xdr:col>
      <xdr:colOff>19050</xdr:colOff>
      <xdr:row>14</xdr:row>
      <xdr:rowOff>9525</xdr:rowOff>
    </xdr:from>
    <xdr:to>
      <xdr:col>8</xdr:col>
      <xdr:colOff>219075</xdr:colOff>
      <xdr:row>31</xdr:row>
      <xdr:rowOff>171450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0000-000006000000}"/>
            </a:ext>
            <a:ext uri="{147F2762-F138-4A5C-976F-8EAC2B608ADB}">
              <a16:predDERef xmlns:a16="http://schemas.microsoft.com/office/drawing/2014/main" xmlns="" pred="{00000000-0008-0000-0000-00000104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76"/>
  <sheetViews>
    <sheetView tabSelected="1" workbookViewId="0">
      <selection activeCell="C6" sqref="C6"/>
    </sheetView>
  </sheetViews>
  <sheetFormatPr defaultColWidth="0" defaultRowHeight="15" zeroHeight="1"/>
  <cols>
    <col min="1" max="1" width="1" style="17" customWidth="1"/>
    <col min="2" max="2" width="14" customWidth="1"/>
    <col min="3" max="3" width="13.7109375" customWidth="1"/>
    <col min="4" max="4" width="11.28515625" customWidth="1"/>
    <col min="5" max="5" width="10.140625" customWidth="1"/>
    <col min="6" max="6" width="15.42578125" customWidth="1"/>
    <col min="7" max="7" width="1.28515625" style="17" customWidth="1"/>
    <col min="8" max="8" width="18" style="19" customWidth="1"/>
    <col min="9" max="9" width="13.7109375" customWidth="1"/>
    <col min="10" max="10" width="14.140625" customWidth="1"/>
    <col min="11" max="11" width="13.140625" style="18" customWidth="1"/>
    <col min="12" max="12" width="14.140625" customWidth="1"/>
    <col min="13" max="13" width="1.28515625" style="17" customWidth="1"/>
    <col min="14" max="14" width="10" hidden="1" customWidth="1"/>
    <col min="15" max="18" width="9.140625" hidden="1" customWidth="1"/>
    <col min="19" max="19" width="12.42578125" hidden="1" customWidth="1"/>
    <col min="20" max="20" width="9.140625" hidden="1" customWidth="1"/>
    <col min="21" max="21" width="12" hidden="1" customWidth="1"/>
    <col min="22" max="26" width="0" hidden="1" customWidth="1"/>
    <col min="27" max="16384" width="9.140625" hidden="1"/>
  </cols>
  <sheetData>
    <row r="1" spans="2:22" ht="6" customHeight="1">
      <c r="B1" s="17"/>
      <c r="C1" s="17"/>
      <c r="D1" s="17"/>
      <c r="E1" s="17"/>
      <c r="F1" s="17"/>
      <c r="H1" s="17"/>
      <c r="I1" s="17"/>
      <c r="J1" s="17"/>
      <c r="K1" s="20"/>
      <c r="L1" s="17"/>
    </row>
    <row r="2" spans="2:22">
      <c r="B2" s="47" t="s">
        <v>0</v>
      </c>
      <c r="C2" s="47"/>
      <c r="D2" s="47"/>
      <c r="E2" s="47"/>
      <c r="F2" s="47"/>
      <c r="H2" s="48" t="s">
        <v>1</v>
      </c>
      <c r="I2" s="48"/>
      <c r="J2" s="48"/>
      <c r="K2" s="48"/>
      <c r="L2" s="48"/>
    </row>
    <row r="3" spans="2:22">
      <c r="B3" s="29" t="s">
        <v>2</v>
      </c>
      <c r="C3" s="30" t="s">
        <v>3</v>
      </c>
      <c r="D3" s="29" t="s">
        <v>4</v>
      </c>
      <c r="E3" s="31" t="s">
        <v>5</v>
      </c>
      <c r="F3" s="32" t="s">
        <v>6</v>
      </c>
      <c r="G3" s="16"/>
      <c r="H3" s="29" t="s">
        <v>7</v>
      </c>
      <c r="I3" s="29" t="s">
        <v>2</v>
      </c>
      <c r="J3" s="30" t="s">
        <v>3</v>
      </c>
      <c r="K3" s="33" t="s">
        <v>4</v>
      </c>
      <c r="L3" s="34" t="s">
        <v>6</v>
      </c>
    </row>
    <row r="4" spans="2:22">
      <c r="B4" s="46">
        <v>9.6999999999999993</v>
      </c>
      <c r="C4" s="46">
        <v>9.94</v>
      </c>
      <c r="D4" s="32">
        <f>AVERAGE(B4:C4)</f>
        <v>9.82</v>
      </c>
      <c r="E4" s="31" t="s">
        <v>8</v>
      </c>
      <c r="F4" s="32">
        <f>4*10^8</f>
        <v>400000000</v>
      </c>
      <c r="G4" s="16"/>
      <c r="H4" s="46" t="s">
        <v>9</v>
      </c>
      <c r="I4" s="46">
        <v>12.88</v>
      </c>
      <c r="J4" s="46">
        <v>12.38</v>
      </c>
      <c r="K4" s="35">
        <f>AVERAGE(I4:J4)</f>
        <v>12.63</v>
      </c>
      <c r="L4" s="36">
        <f>((EXP((K4-$K$20)/$K$19)))</f>
        <v>51083289.619216315</v>
      </c>
    </row>
    <row r="5" spans="2:22">
      <c r="B5" s="46">
        <v>13.04</v>
      </c>
      <c r="C5" s="46">
        <v>12.99</v>
      </c>
      <c r="D5" s="32">
        <f>AVERAGE(B5:C5)</f>
        <v>13.015000000000001</v>
      </c>
      <c r="E5" s="31" t="s">
        <v>10</v>
      </c>
      <c r="F5" s="32">
        <f>4*10^7</f>
        <v>40000000</v>
      </c>
      <c r="G5" s="16"/>
      <c r="H5" s="46"/>
      <c r="I5" s="46"/>
      <c r="J5" s="46"/>
      <c r="K5" s="35" t="e">
        <f t="shared" ref="K5:K13" si="0">AVERAGE(I5:J5)</f>
        <v>#DIV/0!</v>
      </c>
      <c r="L5" s="36" t="e">
        <f t="shared" ref="L5:L13" si="1">((EXP((K5-$K$20)/$K$19)))</f>
        <v>#DIV/0!</v>
      </c>
    </row>
    <row r="6" spans="2:22">
      <c r="B6" s="46">
        <v>16.100000000000001</v>
      </c>
      <c r="C6" s="46">
        <v>16</v>
      </c>
      <c r="D6" s="32">
        <f>AVERAGE(B6:C6)</f>
        <v>16.05</v>
      </c>
      <c r="E6" s="31" t="s">
        <v>11</v>
      </c>
      <c r="F6" s="32">
        <f>4*10^6</f>
        <v>4000000</v>
      </c>
      <c r="G6" s="16"/>
      <c r="H6" s="46"/>
      <c r="I6" s="46"/>
      <c r="J6" s="46"/>
      <c r="K6" s="35" t="e">
        <f t="shared" si="0"/>
        <v>#DIV/0!</v>
      </c>
      <c r="L6" s="36" t="e">
        <f t="shared" si="1"/>
        <v>#DIV/0!</v>
      </c>
    </row>
    <row r="7" spans="2:22">
      <c r="B7" s="46">
        <v>19.23</v>
      </c>
      <c r="C7" s="46">
        <v>19.13</v>
      </c>
      <c r="D7" s="32">
        <f>AVERAGE(B7:C7)</f>
        <v>19.18</v>
      </c>
      <c r="E7" s="31" t="s">
        <v>12</v>
      </c>
      <c r="F7" s="32">
        <f>4*10^5</f>
        <v>400000</v>
      </c>
      <c r="G7" s="16"/>
      <c r="H7" s="46"/>
      <c r="I7" s="46"/>
      <c r="J7" s="46"/>
      <c r="K7" s="35" t="e">
        <f>AVERAGE(I7:J7)</f>
        <v>#DIV/0!</v>
      </c>
      <c r="L7" s="36" t="e">
        <f t="shared" si="1"/>
        <v>#DIV/0!</v>
      </c>
    </row>
    <row r="8" spans="2:22">
      <c r="B8" s="25"/>
      <c r="C8" s="25"/>
      <c r="D8" s="25"/>
      <c r="E8" s="28"/>
      <c r="F8" s="25"/>
      <c r="G8" s="16"/>
      <c r="H8" s="46"/>
      <c r="I8" s="46"/>
      <c r="J8" s="46"/>
      <c r="K8" s="35" t="e">
        <f t="shared" si="0"/>
        <v>#DIV/0!</v>
      </c>
      <c r="L8" s="36" t="e">
        <f t="shared" si="1"/>
        <v>#DIV/0!</v>
      </c>
    </row>
    <row r="9" spans="2:22">
      <c r="B9" s="24"/>
      <c r="C9" s="24"/>
      <c r="D9" s="25"/>
      <c r="E9" s="25"/>
      <c r="F9" s="25"/>
      <c r="G9" s="16"/>
      <c r="H9" s="46"/>
      <c r="I9" s="46"/>
      <c r="J9" s="46"/>
      <c r="K9" s="35" t="e">
        <f t="shared" si="0"/>
        <v>#DIV/0!</v>
      </c>
      <c r="L9" s="36" t="e">
        <f t="shared" si="1"/>
        <v>#DIV/0!</v>
      </c>
    </row>
    <row r="10" spans="2:22">
      <c r="B10" s="24"/>
      <c r="C10" s="24"/>
      <c r="D10" s="24"/>
      <c r="E10" s="24"/>
      <c r="F10" s="24"/>
      <c r="H10" s="46"/>
      <c r="I10" s="46"/>
      <c r="J10" s="46"/>
      <c r="K10" s="35" t="e">
        <f t="shared" si="0"/>
        <v>#DIV/0!</v>
      </c>
      <c r="L10" s="36" t="e">
        <f t="shared" si="1"/>
        <v>#DIV/0!</v>
      </c>
    </row>
    <row r="11" spans="2:22">
      <c r="B11" s="24"/>
      <c r="C11" s="24"/>
      <c r="D11" s="26" t="s">
        <v>13</v>
      </c>
      <c r="E11" s="26"/>
      <c r="F11" s="24"/>
      <c r="H11" s="46"/>
      <c r="I11" s="46"/>
      <c r="J11" s="46"/>
      <c r="K11" s="35" t="e">
        <f t="shared" si="0"/>
        <v>#DIV/0!</v>
      </c>
      <c r="L11" s="36" t="e">
        <f t="shared" si="1"/>
        <v>#DIV/0!</v>
      </c>
      <c r="T11" s="9"/>
      <c r="U11" s="15" t="s">
        <v>14</v>
      </c>
      <c r="V11" s="10"/>
    </row>
    <row r="12" spans="2:22">
      <c r="B12" s="24"/>
      <c r="C12" s="24"/>
      <c r="D12" s="24" t="s">
        <v>15</v>
      </c>
      <c r="E12" s="24"/>
      <c r="F12" s="24"/>
      <c r="H12" s="46"/>
      <c r="I12" s="46"/>
      <c r="J12" s="46"/>
      <c r="K12" s="35" t="e">
        <f t="shared" si="0"/>
        <v>#DIV/0!</v>
      </c>
      <c r="L12" s="36" t="e">
        <f t="shared" si="1"/>
        <v>#DIV/0!</v>
      </c>
      <c r="T12" s="13" t="s">
        <v>16</v>
      </c>
      <c r="U12" s="1">
        <v>16.920000000000002</v>
      </c>
      <c r="V12" s="14"/>
    </row>
    <row r="13" spans="2:22">
      <c r="B13" s="24"/>
      <c r="C13" s="24"/>
      <c r="D13" s="24"/>
      <c r="E13" s="24"/>
      <c r="F13" s="24"/>
      <c r="H13" s="46"/>
      <c r="I13" s="46"/>
      <c r="J13" s="46"/>
      <c r="K13" s="35" t="e">
        <f t="shared" si="0"/>
        <v>#DIV/0!</v>
      </c>
      <c r="L13" s="36" t="e">
        <f t="shared" si="1"/>
        <v>#DIV/0!</v>
      </c>
      <c r="T13" s="13" t="s">
        <v>17</v>
      </c>
      <c r="U13" s="1">
        <v>17.04</v>
      </c>
      <c r="V13" s="14"/>
    </row>
    <row r="14" spans="2:22" s="17" customFormat="1" ht="6" customHeight="1">
      <c r="K14" s="20"/>
      <c r="T14" s="21" t="s">
        <v>18</v>
      </c>
      <c r="U14" s="22">
        <f>AVERAGE(U12:U13)</f>
        <v>16.98</v>
      </c>
      <c r="V14" s="23"/>
    </row>
    <row r="15" spans="2:22">
      <c r="B15" s="24"/>
      <c r="C15" s="24"/>
      <c r="D15" s="24"/>
      <c r="E15" s="24"/>
      <c r="F15" s="24"/>
      <c r="G15" s="24"/>
      <c r="H15" s="24"/>
      <c r="I15" s="24"/>
      <c r="J15" s="24"/>
      <c r="K15" s="27"/>
      <c r="L15" s="24"/>
    </row>
    <row r="16" spans="2:22">
      <c r="B16" s="24"/>
      <c r="C16" s="24"/>
      <c r="D16" s="24"/>
      <c r="E16" s="24"/>
      <c r="F16" s="24"/>
      <c r="G16" s="24"/>
      <c r="H16" s="24"/>
      <c r="I16" s="24"/>
      <c r="J16" s="24"/>
      <c r="K16" s="27"/>
      <c r="L16" s="24"/>
      <c r="T16" t="s">
        <v>19</v>
      </c>
    </row>
    <row r="17" spans="2:26">
      <c r="B17" s="24"/>
      <c r="C17" s="24"/>
      <c r="D17" s="24"/>
      <c r="E17" s="24"/>
      <c r="F17" s="24"/>
      <c r="G17" s="24"/>
      <c r="H17" s="24"/>
      <c r="I17" s="24"/>
      <c r="J17" s="50" t="s">
        <v>20</v>
      </c>
      <c r="K17" s="50"/>
      <c r="L17" s="24"/>
      <c r="T17" t="s">
        <v>21</v>
      </c>
      <c r="U17">
        <v>-1.349</v>
      </c>
    </row>
    <row r="18" spans="2:26">
      <c r="B18" s="24"/>
      <c r="C18" s="24"/>
      <c r="D18" s="24"/>
      <c r="E18" s="24"/>
      <c r="F18" s="24"/>
      <c r="G18" s="24"/>
      <c r="H18" s="24"/>
      <c r="I18" s="24"/>
      <c r="J18" s="49" t="s">
        <v>22</v>
      </c>
      <c r="K18" s="49"/>
      <c r="L18" s="24"/>
      <c r="T18" t="s">
        <v>23</v>
      </c>
      <c r="U18">
        <v>37.792000000000002</v>
      </c>
    </row>
    <row r="19" spans="2:26">
      <c r="B19" s="24"/>
      <c r="C19" s="24"/>
      <c r="D19" s="24"/>
      <c r="E19" s="24"/>
      <c r="F19" s="24"/>
      <c r="G19" s="24"/>
      <c r="H19" s="24"/>
      <c r="I19" s="24"/>
      <c r="J19" s="32" t="s">
        <v>24</v>
      </c>
      <c r="K19" s="41">
        <f>SLOPE(D4:D7,LN(F4:F7))</f>
        <v>-1.3513072804419681</v>
      </c>
      <c r="L19" s="24"/>
    </row>
    <row r="20" spans="2:26">
      <c r="B20" s="24"/>
      <c r="C20" s="24"/>
      <c r="D20" s="24"/>
      <c r="E20" s="24"/>
      <c r="F20" s="24"/>
      <c r="G20" s="24"/>
      <c r="H20" s="24"/>
      <c r="I20" s="24"/>
      <c r="J20" s="37" t="s">
        <v>25</v>
      </c>
      <c r="K20" s="42">
        <f>INTERCEPT(D4:D7,LN(F4:F7))</f>
        <v>36.614309663016954</v>
      </c>
      <c r="L20" s="24"/>
    </row>
    <row r="21" spans="2:26" ht="17.25">
      <c r="B21" s="24"/>
      <c r="C21" s="24"/>
      <c r="D21" s="24"/>
      <c r="E21" s="24"/>
      <c r="F21" s="24"/>
      <c r="G21" s="24"/>
      <c r="H21" s="24"/>
      <c r="I21" s="25"/>
      <c r="J21" s="44" t="s">
        <v>40</v>
      </c>
      <c r="K21" s="45">
        <f>RSQ(D4:D7,LN(F4:F7))</f>
        <v>0.99991102314986069</v>
      </c>
      <c r="L21" s="43"/>
      <c r="S21" s="3" t="s">
        <v>26</v>
      </c>
      <c r="U21">
        <f>((EXP(($K$20-K4)/$K$19))*1000)/100</f>
        <v>1.9575873195602184E-7</v>
      </c>
      <c r="V21" t="s">
        <v>27</v>
      </c>
    </row>
    <row r="22" spans="2:26">
      <c r="B22" s="24"/>
      <c r="C22" s="24"/>
      <c r="D22" s="24"/>
      <c r="E22" s="24"/>
      <c r="F22" s="24"/>
      <c r="G22" s="24"/>
      <c r="H22" s="24"/>
      <c r="I22" s="24"/>
      <c r="J22" s="24"/>
      <c r="K22" s="27"/>
      <c r="L22" s="24"/>
    </row>
    <row r="23" spans="2:26">
      <c r="B23" s="24"/>
      <c r="C23" s="24"/>
      <c r="D23" s="24"/>
      <c r="E23" s="24"/>
      <c r="F23" s="24"/>
      <c r="G23" s="24"/>
      <c r="H23" s="24"/>
      <c r="I23" s="24"/>
      <c r="J23" s="24"/>
      <c r="K23" s="27"/>
      <c r="L23" s="24"/>
      <c r="U23" s="11">
        <f>(U21*1000)/100</f>
        <v>1.9575873195602182E-6</v>
      </c>
      <c r="V23" s="12" t="s">
        <v>28</v>
      </c>
    </row>
    <row r="24" spans="2:26">
      <c r="B24" s="24"/>
      <c r="C24" s="24"/>
      <c r="D24" s="24"/>
      <c r="E24" s="24"/>
      <c r="F24" s="24"/>
      <c r="G24" s="24"/>
      <c r="H24" s="24"/>
      <c r="I24" s="24"/>
      <c r="J24" s="38" t="s">
        <v>29</v>
      </c>
      <c r="K24" s="27"/>
      <c r="L24" s="24"/>
    </row>
    <row r="25" spans="2:26">
      <c r="B25" s="24"/>
      <c r="C25" s="24"/>
      <c r="D25" s="24"/>
      <c r="E25" s="24"/>
      <c r="F25" s="24"/>
      <c r="G25" s="24"/>
      <c r="H25" s="24"/>
      <c r="I25" s="24"/>
      <c r="J25" s="24" t="s">
        <v>30</v>
      </c>
      <c r="K25" s="27"/>
      <c r="L25" s="24"/>
      <c r="U25" s="4">
        <f>U23</f>
        <v>1.9575873195602182E-6</v>
      </c>
    </row>
    <row r="26" spans="2:26">
      <c r="B26" s="24"/>
      <c r="C26" s="24"/>
      <c r="D26" s="24"/>
      <c r="E26" s="24"/>
      <c r="F26" s="24"/>
      <c r="G26" s="24"/>
      <c r="H26" s="24"/>
      <c r="I26" s="24"/>
      <c r="J26" s="24" t="s">
        <v>37</v>
      </c>
      <c r="K26" s="27"/>
      <c r="L26" s="24"/>
    </row>
    <row r="27" spans="2:26">
      <c r="B27" s="24"/>
      <c r="C27" s="24"/>
      <c r="D27" s="24"/>
      <c r="E27" s="24"/>
      <c r="F27" s="24"/>
      <c r="G27" s="24"/>
      <c r="H27" s="24"/>
      <c r="I27" s="24"/>
      <c r="J27" s="24" t="s">
        <v>39</v>
      </c>
      <c r="K27" s="27"/>
      <c r="L27" s="24"/>
      <c r="T27" t="s">
        <v>31</v>
      </c>
      <c r="U27" s="5">
        <f>((U25/15700000))</f>
        <v>1.2468709041784829E-13</v>
      </c>
      <c r="V27" t="s">
        <v>32</v>
      </c>
    </row>
    <row r="28" spans="2:26">
      <c r="B28" s="24"/>
      <c r="C28" s="24"/>
      <c r="D28" s="24"/>
      <c r="E28" s="24"/>
      <c r="F28" s="24"/>
      <c r="G28" s="24"/>
      <c r="H28" s="24"/>
      <c r="I28" s="24"/>
      <c r="J28" s="24" t="s">
        <v>38</v>
      </c>
      <c r="K28" s="27"/>
      <c r="L28" s="24"/>
    </row>
    <row r="29" spans="2:26">
      <c r="B29" s="24"/>
      <c r="C29" s="24"/>
      <c r="D29" s="24"/>
      <c r="E29" s="24"/>
      <c r="F29" s="24"/>
      <c r="G29" s="24"/>
      <c r="H29" s="24"/>
      <c r="I29" s="24"/>
      <c r="J29" s="24"/>
      <c r="K29" s="27"/>
      <c r="L29" s="24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2:26">
      <c r="B30" s="24"/>
      <c r="C30" s="24"/>
      <c r="D30" s="24"/>
      <c r="E30" s="24"/>
      <c r="F30" s="24"/>
      <c r="G30" s="24"/>
      <c r="H30" s="24"/>
      <c r="I30" s="24"/>
      <c r="J30" s="24"/>
      <c r="K30" s="27"/>
      <c r="L30" s="24"/>
    </row>
    <row r="31" spans="2:26">
      <c r="B31" s="24"/>
      <c r="C31" s="24"/>
      <c r="D31" s="24"/>
      <c r="E31" s="24"/>
      <c r="F31" s="24"/>
      <c r="G31" s="24"/>
      <c r="H31" s="24"/>
      <c r="I31" s="24"/>
      <c r="J31" s="24"/>
      <c r="K31" s="27"/>
      <c r="L31" s="24"/>
    </row>
    <row r="32" spans="2:26">
      <c r="B32" s="24"/>
      <c r="C32" s="24"/>
      <c r="D32" s="26"/>
      <c r="E32" s="26"/>
      <c r="F32" s="24"/>
      <c r="G32" s="24"/>
      <c r="H32" s="24"/>
      <c r="I32" s="24"/>
      <c r="J32" s="24"/>
      <c r="K32" s="27"/>
      <c r="L32" s="24"/>
    </row>
    <row r="33" spans="2:22">
      <c r="B33" s="39"/>
      <c r="C33" s="39"/>
      <c r="D33" s="39"/>
      <c r="E33" s="39"/>
      <c r="F33" s="39"/>
      <c r="G33" s="39"/>
      <c r="H33" s="39"/>
      <c r="I33" s="39"/>
      <c r="J33" s="39"/>
      <c r="K33" s="40"/>
      <c r="L33" s="39"/>
    </row>
    <row r="34" spans="2:22" s="17" customFormat="1" ht="5.25" customHeight="1">
      <c r="K34" s="20"/>
    </row>
    <row r="35" spans="2:22" hidden="1">
      <c r="B35" s="24"/>
      <c r="C35" s="24"/>
      <c r="D35" s="24"/>
      <c r="E35" s="24"/>
      <c r="F35" s="24"/>
      <c r="G35" s="24"/>
      <c r="H35" s="24"/>
      <c r="I35" s="24"/>
      <c r="J35" s="24"/>
      <c r="K35" s="27"/>
      <c r="L35" s="24"/>
    </row>
    <row r="36" spans="2:22" hidden="1">
      <c r="B36" s="24"/>
      <c r="C36" s="24"/>
      <c r="D36" s="24"/>
      <c r="E36" s="24"/>
      <c r="F36" s="24"/>
      <c r="G36" s="24"/>
      <c r="H36" s="24"/>
      <c r="I36" s="24"/>
      <c r="J36" s="24"/>
      <c r="K36" s="27"/>
      <c r="L36" s="24"/>
    </row>
    <row r="37" spans="2:22" hidden="1">
      <c r="B37" s="24"/>
      <c r="C37" s="24"/>
      <c r="D37" s="24"/>
      <c r="E37" s="24"/>
      <c r="F37" s="24"/>
      <c r="G37" s="24"/>
      <c r="H37" s="24"/>
      <c r="I37" s="24"/>
      <c r="J37" s="24"/>
      <c r="K37" s="27"/>
      <c r="L37" s="24"/>
    </row>
    <row r="38" spans="2:22" hidden="1">
      <c r="B38" s="24"/>
      <c r="C38" s="24"/>
      <c r="D38" s="24"/>
      <c r="E38" s="24"/>
      <c r="F38" s="24"/>
      <c r="G38" s="24"/>
      <c r="H38" s="24"/>
      <c r="I38" s="24"/>
      <c r="J38" s="24"/>
      <c r="K38" s="27"/>
      <c r="L38" s="24"/>
      <c r="T38" t="s">
        <v>19</v>
      </c>
    </row>
    <row r="39" spans="2:22" hidden="1">
      <c r="B39" s="24"/>
      <c r="C39" s="24"/>
      <c r="D39" s="24"/>
      <c r="E39" s="24"/>
      <c r="F39" s="24"/>
      <c r="G39" s="24"/>
      <c r="H39" s="24"/>
      <c r="I39" s="24"/>
      <c r="J39" s="24"/>
      <c r="K39" s="27"/>
      <c r="L39" s="24"/>
      <c r="T39" t="s">
        <v>21</v>
      </c>
      <c r="U39">
        <v>1.167</v>
      </c>
    </row>
    <row r="40" spans="2:22" hidden="1">
      <c r="B40" s="24"/>
      <c r="C40" s="24"/>
      <c r="D40" s="24"/>
      <c r="E40" s="24"/>
      <c r="F40" s="24"/>
      <c r="G40" s="24"/>
      <c r="H40" s="24"/>
      <c r="I40" s="24"/>
      <c r="J40" s="24"/>
      <c r="K40" s="27"/>
      <c r="L40" s="24"/>
      <c r="T40" t="s">
        <v>23</v>
      </c>
      <c r="U40">
        <v>33.881</v>
      </c>
    </row>
    <row r="41" spans="2:22" hidden="1">
      <c r="B41" s="24"/>
      <c r="C41" s="24"/>
      <c r="D41" s="24"/>
      <c r="E41" s="24"/>
      <c r="F41" s="24"/>
      <c r="G41" s="24"/>
      <c r="H41" s="24"/>
      <c r="I41" s="24"/>
      <c r="J41" s="24"/>
      <c r="K41" s="27"/>
      <c r="L41" s="24"/>
    </row>
    <row r="42" spans="2:22" hidden="1">
      <c r="B42" s="24"/>
      <c r="C42" s="24"/>
      <c r="D42" s="24"/>
      <c r="E42" s="24"/>
      <c r="F42" s="24"/>
      <c r="G42" s="24"/>
      <c r="H42" s="24"/>
      <c r="I42" s="24"/>
      <c r="J42" s="24"/>
      <c r="K42" s="27"/>
      <c r="L42" s="24"/>
    </row>
    <row r="43" spans="2:22" hidden="1">
      <c r="B43" s="24"/>
      <c r="C43" s="24"/>
      <c r="D43" s="24"/>
      <c r="E43" s="24"/>
      <c r="F43" s="24"/>
      <c r="G43" s="24"/>
      <c r="H43" s="24"/>
      <c r="I43" s="24"/>
      <c r="J43" s="24"/>
      <c r="K43" s="27"/>
      <c r="L43" s="24"/>
      <c r="S43" s="3" t="s">
        <v>26</v>
      </c>
      <c r="U43">
        <f>EXP((U40-U14)/U39)</f>
        <v>1948233.437406705</v>
      </c>
      <c r="V43" t="s">
        <v>27</v>
      </c>
    </row>
    <row r="44" spans="2:22" hidden="1">
      <c r="B44" s="24"/>
      <c r="C44" s="24"/>
      <c r="D44" s="24"/>
      <c r="E44" s="24"/>
      <c r="F44" s="24"/>
      <c r="G44" s="24"/>
      <c r="H44" s="24"/>
      <c r="I44" s="24"/>
      <c r="J44" s="24"/>
      <c r="K44" s="27"/>
      <c r="L44" s="24"/>
    </row>
    <row r="45" spans="2:22" hidden="1">
      <c r="B45" s="24"/>
      <c r="C45" s="24"/>
      <c r="D45" s="24"/>
      <c r="E45" s="24"/>
      <c r="F45" s="24"/>
      <c r="G45" s="24"/>
      <c r="H45" s="24"/>
      <c r="I45" s="24"/>
      <c r="J45" s="24"/>
      <c r="K45" s="27"/>
      <c r="L45" s="24"/>
      <c r="U45" s="4">
        <f>(U43*1000)/100</f>
        <v>19482334.374067049</v>
      </c>
      <c r="V45" t="s">
        <v>28</v>
      </c>
    </row>
    <row r="46" spans="2:22" hidden="1">
      <c r="B46" s="24"/>
      <c r="C46" s="24"/>
      <c r="D46" s="24"/>
      <c r="E46" s="24"/>
      <c r="F46" s="24"/>
      <c r="G46" s="24"/>
      <c r="H46" s="24"/>
      <c r="I46" s="24"/>
      <c r="J46" s="24"/>
      <c r="K46" s="27"/>
      <c r="L46" s="24"/>
    </row>
    <row r="47" spans="2:22" hidden="1">
      <c r="B47" s="24"/>
      <c r="C47" s="24"/>
      <c r="D47" s="24"/>
      <c r="E47" s="24"/>
      <c r="F47" s="24"/>
      <c r="G47" s="24"/>
      <c r="H47" s="24"/>
      <c r="I47" s="24"/>
      <c r="J47" s="24"/>
      <c r="K47" s="27"/>
      <c r="L47" s="24"/>
      <c r="U47" s="11">
        <f>U45</f>
        <v>19482334.374067049</v>
      </c>
      <c r="V47" s="12" t="s">
        <v>28</v>
      </c>
    </row>
    <row r="48" spans="2:22" hidden="1">
      <c r="B48" s="24"/>
      <c r="C48" s="24"/>
      <c r="D48" s="24"/>
      <c r="E48" s="24"/>
      <c r="F48" s="24"/>
      <c r="G48" s="24"/>
      <c r="H48" s="24"/>
      <c r="I48" s="24"/>
      <c r="J48" s="24"/>
      <c r="K48" s="27"/>
      <c r="L48" s="24"/>
    </row>
    <row r="49" spans="1:22" hidden="1">
      <c r="B49" s="24"/>
      <c r="C49" s="24"/>
      <c r="D49" s="24"/>
      <c r="E49" s="24"/>
      <c r="F49" s="24"/>
      <c r="G49" s="24"/>
      <c r="H49" s="24"/>
      <c r="I49" s="24"/>
      <c r="J49" s="24"/>
      <c r="K49" s="27"/>
      <c r="L49" s="24"/>
      <c r="T49" t="s">
        <v>31</v>
      </c>
      <c r="U49" s="5">
        <f>(1-(U47/15700000))</f>
        <v>-0.24091301745649996</v>
      </c>
      <c r="V49" t="s">
        <v>33</v>
      </c>
    </row>
    <row r="50" spans="1:22" hidden="1">
      <c r="B50" s="24"/>
      <c r="C50" s="24"/>
      <c r="D50" s="24"/>
      <c r="E50" s="24"/>
      <c r="F50" s="24"/>
      <c r="G50" s="24"/>
      <c r="H50" s="24"/>
      <c r="I50" s="24"/>
      <c r="J50" s="24"/>
      <c r="K50" s="27"/>
      <c r="L50" s="24"/>
      <c r="U50" s="5"/>
    </row>
    <row r="51" spans="1:22" s="6" customFormat="1" hidden="1">
      <c r="A51" s="17"/>
      <c r="B51" s="24"/>
      <c r="C51" s="24"/>
      <c r="D51" s="24"/>
      <c r="E51" s="24"/>
      <c r="F51" s="24"/>
      <c r="G51" s="24"/>
      <c r="H51" s="24"/>
      <c r="I51" s="24"/>
      <c r="J51" s="24"/>
      <c r="K51" s="27"/>
      <c r="L51" s="24"/>
      <c r="M51" s="17"/>
      <c r="U51" s="7"/>
    </row>
    <row r="52" spans="1:22" hidden="1">
      <c r="B52" s="24"/>
      <c r="C52" s="24"/>
      <c r="D52" s="24"/>
      <c r="E52" s="24"/>
      <c r="F52" s="24"/>
      <c r="G52" s="24"/>
      <c r="H52" s="24"/>
      <c r="I52" s="24"/>
      <c r="J52" s="24"/>
      <c r="K52" s="27"/>
      <c r="L52" s="24"/>
    </row>
    <row r="53" spans="1:22" hidden="1">
      <c r="B53" s="24"/>
      <c r="C53" s="24"/>
      <c r="D53" s="24"/>
      <c r="E53" s="24"/>
      <c r="F53" s="24"/>
      <c r="G53" s="24"/>
      <c r="H53" s="24"/>
      <c r="I53" s="24"/>
      <c r="J53" s="24"/>
      <c r="K53" s="27"/>
      <c r="L53" s="24"/>
    </row>
    <row r="54" spans="1:22" hidden="1">
      <c r="B54" s="24"/>
      <c r="C54" s="24"/>
      <c r="D54" s="24"/>
      <c r="E54" s="24"/>
      <c r="F54" s="24"/>
      <c r="G54" s="24"/>
      <c r="H54" s="24"/>
      <c r="I54" s="24"/>
      <c r="J54" s="24"/>
      <c r="K54" s="27"/>
      <c r="L54" s="24"/>
      <c r="T54" t="s">
        <v>19</v>
      </c>
    </row>
    <row r="55" spans="1:22" hidden="1">
      <c r="B55" s="24"/>
      <c r="C55" s="24"/>
      <c r="D55" s="24"/>
      <c r="E55" s="24"/>
      <c r="F55" s="24"/>
      <c r="G55" s="24"/>
      <c r="H55" s="24"/>
      <c r="I55" s="24"/>
      <c r="J55" s="24"/>
      <c r="K55" s="27"/>
      <c r="L55" s="24"/>
      <c r="T55" t="s">
        <v>21</v>
      </c>
      <c r="U55">
        <v>1.391</v>
      </c>
    </row>
    <row r="56" spans="1:22" hidden="1">
      <c r="B56" s="24"/>
      <c r="C56" s="24"/>
      <c r="D56" s="24"/>
      <c r="E56" s="24"/>
      <c r="F56" s="24"/>
      <c r="G56" s="24"/>
      <c r="H56" s="24"/>
      <c r="I56" s="24"/>
      <c r="J56" s="24"/>
      <c r="K56" s="27"/>
      <c r="L56" s="24"/>
      <c r="T56" t="s">
        <v>23</v>
      </c>
      <c r="U56">
        <v>36.823999999999998</v>
      </c>
    </row>
    <row r="57" spans="1:22" hidden="1">
      <c r="B57" s="24"/>
      <c r="C57" s="24"/>
      <c r="D57" s="24"/>
      <c r="E57" s="24"/>
      <c r="F57" s="24"/>
      <c r="G57" s="24"/>
      <c r="H57" s="24"/>
      <c r="I57" s="24"/>
      <c r="J57" s="24"/>
      <c r="K57" s="27"/>
      <c r="L57" s="24"/>
    </row>
    <row r="58" spans="1:22" hidden="1">
      <c r="B58" s="24"/>
      <c r="C58" s="24"/>
      <c r="D58" s="24"/>
      <c r="E58" s="24"/>
      <c r="F58" s="24"/>
      <c r="G58" s="24"/>
      <c r="H58" s="24"/>
      <c r="I58" s="24"/>
      <c r="J58" s="24"/>
      <c r="K58" s="27"/>
      <c r="L58" s="24"/>
    </row>
    <row r="59" spans="1:22" hidden="1">
      <c r="B59" s="24"/>
      <c r="C59" s="24"/>
      <c r="D59" s="24"/>
      <c r="E59" s="24"/>
      <c r="F59" s="24"/>
      <c r="G59" s="24"/>
      <c r="H59" s="24"/>
      <c r="I59" s="24"/>
      <c r="J59" s="24"/>
      <c r="K59" s="27"/>
      <c r="L59" s="24"/>
      <c r="S59" s="3" t="s">
        <v>26</v>
      </c>
      <c r="U59">
        <f>EXP((U56-U14)/U55)</f>
        <v>1569073.2031535699</v>
      </c>
      <c r="V59" t="s">
        <v>27</v>
      </c>
    </row>
    <row r="60" spans="1:22" hidden="1">
      <c r="B60" s="24"/>
      <c r="C60" s="24"/>
      <c r="D60" s="24"/>
      <c r="E60" s="24"/>
      <c r="F60" s="24"/>
      <c r="G60" s="24"/>
      <c r="H60" s="24"/>
      <c r="I60" s="24"/>
      <c r="J60" s="24"/>
      <c r="K60" s="27"/>
      <c r="L60" s="24"/>
    </row>
    <row r="61" spans="1:22" hidden="1">
      <c r="B61" s="24"/>
      <c r="C61" s="24"/>
      <c r="D61" s="24"/>
      <c r="E61" s="24"/>
      <c r="F61" s="24"/>
      <c r="G61" s="24"/>
      <c r="H61" s="24"/>
      <c r="I61" s="24"/>
      <c r="J61" s="24"/>
      <c r="K61" s="27"/>
      <c r="L61" s="24"/>
      <c r="U61" s="4">
        <f>U59*1000/100</f>
        <v>15690732.0315357</v>
      </c>
      <c r="V61" t="s">
        <v>28</v>
      </c>
    </row>
    <row r="62" spans="1:22" hidden="1">
      <c r="B62" s="24"/>
      <c r="C62" s="24"/>
      <c r="D62" s="24"/>
      <c r="E62" s="24"/>
      <c r="F62" s="24"/>
      <c r="G62" s="24"/>
      <c r="H62" s="24"/>
      <c r="I62" s="24"/>
      <c r="J62" s="24"/>
      <c r="K62" s="27"/>
      <c r="L62" s="24"/>
    </row>
    <row r="63" spans="1:22" hidden="1">
      <c r="B63" s="24"/>
      <c r="C63" s="24"/>
      <c r="D63" s="24"/>
      <c r="E63" s="24"/>
      <c r="F63" s="24"/>
      <c r="G63" s="24"/>
      <c r="H63" s="24"/>
      <c r="I63" s="24"/>
      <c r="J63" s="24"/>
      <c r="K63" s="27"/>
      <c r="L63" s="24"/>
      <c r="U63" s="8">
        <f>U61</f>
        <v>15690732.0315357</v>
      </c>
      <c r="V63" s="2" t="s">
        <v>28</v>
      </c>
    </row>
    <row r="64" spans="1:22" hidden="1">
      <c r="B64" s="24"/>
      <c r="C64" s="24"/>
      <c r="D64" s="24"/>
      <c r="E64" s="24"/>
      <c r="F64" s="24"/>
      <c r="G64" s="24"/>
      <c r="H64" s="24"/>
      <c r="I64" s="24"/>
      <c r="J64" s="24"/>
      <c r="K64" s="27"/>
      <c r="L64" s="24"/>
    </row>
    <row r="65" spans="2:26" hidden="1">
      <c r="B65" s="24"/>
      <c r="C65" s="24"/>
      <c r="D65" s="24"/>
      <c r="E65" s="24"/>
      <c r="F65" s="24"/>
      <c r="G65" s="24"/>
      <c r="H65" s="24"/>
      <c r="I65" s="24"/>
      <c r="J65" s="24"/>
      <c r="K65" s="27"/>
      <c r="L65" s="24"/>
    </row>
    <row r="66" spans="2:26" hidden="1">
      <c r="B66" s="24"/>
      <c r="C66" s="24"/>
      <c r="D66" s="24"/>
      <c r="E66" s="24"/>
      <c r="F66" s="24"/>
      <c r="G66" s="24"/>
      <c r="H66" s="24"/>
      <c r="I66" s="24"/>
      <c r="J66" s="24"/>
      <c r="K66" s="27"/>
      <c r="L66" s="24"/>
      <c r="T66" t="s">
        <v>31</v>
      </c>
      <c r="U66" s="5">
        <f>1-(U63/15700000)</f>
        <v>5.9031646269425142E-4</v>
      </c>
      <c r="V66" t="s">
        <v>33</v>
      </c>
    </row>
    <row r="67" spans="2:26" hidden="1">
      <c r="B67" s="24"/>
      <c r="C67" s="24"/>
      <c r="D67" s="24"/>
      <c r="E67" s="24"/>
      <c r="F67" s="24"/>
      <c r="G67" s="24"/>
      <c r="H67" s="24"/>
      <c r="I67" s="24"/>
      <c r="J67" s="24"/>
      <c r="K67" s="27"/>
      <c r="L67" s="24"/>
    </row>
    <row r="68" spans="2:26" hidden="1">
      <c r="B68" s="24"/>
      <c r="C68" s="24"/>
      <c r="D68" s="24"/>
      <c r="E68" s="24"/>
      <c r="F68" s="24"/>
      <c r="G68" s="24"/>
      <c r="H68" s="24"/>
      <c r="I68" s="24"/>
      <c r="J68" s="24"/>
      <c r="K68" s="27"/>
      <c r="L68" s="24"/>
    </row>
    <row r="69" spans="2:26" hidden="1"/>
    <row r="70" spans="2:26" hidden="1">
      <c r="X70" s="2" t="s">
        <v>34</v>
      </c>
      <c r="Y70" s="2"/>
      <c r="Z70" s="2"/>
    </row>
    <row r="71" spans="2:26" hidden="1">
      <c r="X71" t="s">
        <v>35</v>
      </c>
    </row>
    <row r="72" spans="2:26" hidden="1"/>
    <row r="73" spans="2:26" hidden="1">
      <c r="U73" t="s">
        <v>36</v>
      </c>
    </row>
    <row r="74" spans="2:26" hidden="1"/>
    <row r="75" spans="2:26" hidden="1"/>
    <row r="76" spans="2:26" hidden="1"/>
  </sheetData>
  <sheetProtection password="CC3D" sheet="1" objects="1" scenarios="1" selectLockedCells="1"/>
  <mergeCells count="4">
    <mergeCell ref="B2:F2"/>
    <mergeCell ref="H2:L2"/>
    <mergeCell ref="J18:K18"/>
    <mergeCell ref="J17:K1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Titer Calculator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IP</cp:lastModifiedBy>
  <cp:revision/>
  <dcterms:created xsi:type="dcterms:W3CDTF">2020-06-09T22:57:46Z</dcterms:created>
  <dcterms:modified xsi:type="dcterms:W3CDTF">2020-10-29T17:27:52Z</dcterms:modified>
</cp:coreProperties>
</file>